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CASSETTA" sheetId="1" r:id="rId1"/>
    <sheet name="Michele" sheetId="2" r:id="rId2"/>
    <sheet name="Manuele" sheetId="3" r:id="rId3"/>
    <sheet name="Sambugaro" sheetId="4" r:id="rId4"/>
  </sheets>
  <definedNames/>
  <calcPr fullCalcOnLoad="1"/>
</workbook>
</file>

<file path=xl/sharedStrings.xml><?xml version="1.0" encoding="utf-8"?>
<sst xmlns="http://schemas.openxmlformats.org/spreadsheetml/2006/main" count="151" uniqueCount="70">
  <si>
    <t>GRADO DI PRECISIONE</t>
  </si>
  <si>
    <t>V</t>
  </si>
  <si>
    <t>C</t>
  </si>
  <si>
    <t>W</t>
  </si>
  <si>
    <t>MISURE DI RESISTENZA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</si>
  <si>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</si>
  <si>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</si>
  <si>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</si>
  <si>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</si>
  <si>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t>Posizione</t>
  </si>
  <si>
    <t>I[mA]</t>
  </si>
  <si>
    <t>I[A]</t>
  </si>
  <si>
    <t>Ifs[mA]</t>
  </si>
  <si>
    <r>
      <t>D</t>
    </r>
    <r>
      <rPr>
        <sz val="10"/>
        <rFont val="Arial"/>
        <family val="0"/>
      </rPr>
      <t>I[mA]</t>
    </r>
  </si>
  <si>
    <t>V [V]</t>
  </si>
  <si>
    <t>Vfs[V]</t>
  </si>
  <si>
    <r>
      <t>D</t>
    </r>
    <r>
      <rPr>
        <sz val="10"/>
        <rFont val="Arial"/>
        <family val="0"/>
      </rPr>
      <t>V[V]</t>
    </r>
  </si>
  <si>
    <t>R[ohm]</t>
  </si>
  <si>
    <r>
      <t>D</t>
    </r>
    <r>
      <rPr>
        <sz val="10"/>
        <rFont val="Arial"/>
        <family val="0"/>
      </rPr>
      <t>R[Ohm]</t>
    </r>
  </si>
  <si>
    <t>valore misurato</t>
  </si>
  <si>
    <t>I[mA] : 1000</t>
  </si>
  <si>
    <t>fondo scala</t>
  </si>
  <si>
    <t>errore attribuito</t>
  </si>
  <si>
    <t>errore calcolato
'7*10^-2 * V</t>
  </si>
  <si>
    <t>V = R* I
R = V / I</t>
  </si>
  <si>
    <t xml:space="preserve">R [Media Pesata] </t>
  </si>
  <si>
    <t>errore %</t>
  </si>
  <si>
    <r>
      <t>D</t>
    </r>
    <r>
      <rPr>
        <sz val="10"/>
        <rFont val="Arial"/>
        <family val="0"/>
      </rPr>
      <t>R</t>
    </r>
  </si>
  <si>
    <r>
      <t>D</t>
    </r>
    <r>
      <rPr>
        <sz val="10"/>
        <rFont val="Arial"/>
        <family val="0"/>
      </rPr>
      <t>V</t>
    </r>
  </si>
  <si>
    <r>
      <t>D</t>
    </r>
    <r>
      <rPr>
        <sz val="10"/>
        <rFont val="Arial"/>
        <family val="0"/>
      </rPr>
      <t>C</t>
    </r>
  </si>
  <si>
    <t>MISURE EFFETTUATE</t>
  </si>
  <si>
    <t>valore rilevato</t>
  </si>
  <si>
    <r>
      <t>d</t>
    </r>
    <r>
      <rPr>
        <sz val="10"/>
        <rFont val="Arial"/>
        <family val="0"/>
      </rPr>
      <t>V±</t>
    </r>
  </si>
  <si>
    <r>
      <t>d</t>
    </r>
    <r>
      <rPr>
        <sz val="10"/>
        <rFont val="Arial"/>
        <family val="0"/>
      </rPr>
      <t>R±</t>
    </r>
  </si>
  <si>
    <r>
      <t>d</t>
    </r>
    <r>
      <rPr>
        <sz val="10"/>
        <rFont val="Arial"/>
        <family val="0"/>
      </rPr>
      <t>C±</t>
    </r>
  </si>
  <si>
    <t>errore di misura</t>
  </si>
  <si>
    <r>
      <t>d</t>
    </r>
    <r>
      <rPr>
        <sz val="8"/>
        <rFont val="Arial"/>
        <family val="2"/>
      </rPr>
      <t>R * R</t>
    </r>
  </si>
  <si>
    <r>
      <t>d</t>
    </r>
    <r>
      <rPr>
        <sz val="8"/>
        <rFont val="Arial"/>
        <family val="2"/>
      </rPr>
      <t>C * C</t>
    </r>
  </si>
  <si>
    <r>
      <t>R = R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 xml:space="preserve"> + R</t>
    </r>
    <r>
      <rPr>
        <vertAlign val="subscript"/>
        <sz val="8"/>
        <rFont val="Arial"/>
        <family val="0"/>
      </rPr>
      <t>3</t>
    </r>
  </si>
  <si>
    <t>valore calcolato</t>
  </si>
  <si>
    <r>
      <t>d</t>
    </r>
    <r>
      <rPr>
        <sz val="8"/>
        <rFont val="Arial"/>
        <family val="2"/>
      </rPr>
      <t>R * R</t>
    </r>
    <r>
      <rPr>
        <vertAlign val="subscript"/>
        <sz val="8"/>
        <rFont val="Arial"/>
        <family val="2"/>
      </rPr>
      <t>i</t>
    </r>
  </si>
  <si>
    <r>
      <t>d</t>
    </r>
    <r>
      <rPr>
        <sz val="8"/>
        <rFont val="Arial"/>
        <family val="2"/>
      </rPr>
      <t>C * C</t>
    </r>
    <r>
      <rPr>
        <vertAlign val="subscript"/>
        <sz val="8"/>
        <rFont val="Arial"/>
        <family val="2"/>
      </rPr>
      <t>i</t>
    </r>
  </si>
  <si>
    <r>
      <t>d</t>
    </r>
    <r>
      <rPr>
        <sz val="8"/>
        <rFont val="Arial"/>
        <family val="2"/>
      </rPr>
      <t>V * V</t>
    </r>
    <r>
      <rPr>
        <vertAlign val="subscript"/>
        <sz val="8"/>
        <rFont val="Arial"/>
        <family val="2"/>
      </rPr>
      <t>i</t>
    </r>
  </si>
  <si>
    <t>MISURE DI CAPACITA'</t>
  </si>
  <si>
    <t>resistenze in serie</t>
  </si>
  <si>
    <t>condensatori in serie</t>
  </si>
  <si>
    <t>resistenze in parallelo</t>
  </si>
  <si>
    <t>condensatori in parallelo</t>
  </si>
  <si>
    <r>
      <t>C = C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 xml:space="preserve"> + C</t>
    </r>
    <r>
      <rPr>
        <vertAlign val="subscript"/>
        <sz val="8"/>
        <rFont val="Arial"/>
        <family val="0"/>
      </rPr>
      <t>3</t>
    </r>
  </si>
  <si>
    <r>
      <t>d</t>
    </r>
    <r>
      <rPr>
        <sz val="8"/>
        <rFont val="Arial"/>
        <family val="0"/>
      </rPr>
      <t>C * C</t>
    </r>
  </si>
  <si>
    <r>
      <t>(D</t>
    </r>
    <r>
      <rPr>
        <sz val="8"/>
        <rFont val="Arial"/>
        <family val="0"/>
      </rPr>
      <t>C*100)/C</t>
    </r>
  </si>
  <si>
    <r>
      <t>(D</t>
    </r>
    <r>
      <rPr>
        <sz val="8"/>
        <rFont val="Arial"/>
        <family val="0"/>
      </rPr>
      <t>V*100)/V</t>
    </r>
  </si>
  <si>
    <r>
      <t>(D</t>
    </r>
    <r>
      <rPr>
        <sz val="8"/>
        <rFont val="Arial"/>
        <family val="0"/>
      </rPr>
      <t>R*100)/R</t>
    </r>
  </si>
  <si>
    <t>errore %
su calcolato</t>
  </si>
  <si>
    <t>(DR*100)/R</t>
  </si>
  <si>
    <t>1,80</t>
  </si>
  <si>
    <t>2,60</t>
  </si>
  <si>
    <t>3,28</t>
  </si>
  <si>
    <t>4,22</t>
  </si>
  <si>
    <t>5,58</t>
  </si>
  <si>
    <t>6,10</t>
  </si>
  <si>
    <t>7,20</t>
  </si>
  <si>
    <t>8,14</t>
  </si>
  <si>
    <t>9,10</t>
  </si>
  <si>
    <t>9,82</t>
  </si>
  <si>
    <t>SOMMA</t>
  </si>
  <si>
    <t>I[mA]:1000</t>
  </si>
  <si>
    <t xml:space="preserve">retta </t>
  </si>
  <si>
    <r>
      <t xml:space="preserve">V = </t>
    </r>
    <r>
      <rPr>
        <sz val="10"/>
        <rFont val="Arial"/>
        <family val="2"/>
      </rPr>
      <t>R</t>
    </r>
    <r>
      <rPr>
        <sz val="10"/>
        <rFont val="Arial"/>
        <family val="0"/>
      </rPr>
      <t xml:space="preserve"> *I</t>
    </r>
    <r>
      <rPr>
        <vertAlign val="subscript"/>
        <sz val="10"/>
        <rFont val="Arial"/>
        <family val="2"/>
      </rPr>
      <t>k</t>
    </r>
  </si>
  <si>
    <t>ESPERIENZA MISURA DI RESISTENZE CON IL  METODO VOLT-AMPEROMETRICO - SCHEMA CIRCUITO (b)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</si>
</sst>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00000"/>
    <numFmt numFmtId="166" formatCode="0.000"/>
    <numFmt numFmtId="167" formatCode="0.00000"/>
    <numFmt numFmtId="168" formatCode="#.##0"/>
    <numFmt numFmtId="169" formatCode="0.0000"/>
  </numFmts>
  <fonts count="8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Symbol"/>
      <family val="1"/>
    </font>
    <font>
      <vertAlign val="subscript"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 quotePrefix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9" fontId="0" fillId="2" borderId="28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7" fontId="0" fillId="2" borderId="28" xfId="0" applyNumberFormat="1" applyFill="1" applyBorder="1" applyAlignment="1">
      <alignment/>
    </xf>
    <xf numFmtId="169" fontId="0" fillId="2" borderId="29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7" fontId="0" fillId="2" borderId="29" xfId="0" applyNumberFormat="1" applyFill="1" applyBorder="1" applyAlignment="1">
      <alignment/>
    </xf>
    <xf numFmtId="169" fontId="0" fillId="2" borderId="30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7" fontId="0" fillId="2" borderId="30" xfId="0" applyNumberFormat="1" applyFill="1" applyBorder="1" applyAlignment="1">
      <alignment/>
    </xf>
    <xf numFmtId="0" fontId="0" fillId="2" borderId="28" xfId="0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0" fillId="2" borderId="28" xfId="0" applyNumberFormat="1" applyFill="1" applyBorder="1" applyAlignment="1">
      <alignment horizontal="center" vertical="center" wrapText="1"/>
    </xf>
    <xf numFmtId="2" fontId="0" fillId="2" borderId="29" xfId="0" applyNumberFormat="1" applyFill="1" applyBorder="1" applyAlignment="1">
      <alignment horizontal="center" vertical="center" wrapText="1"/>
    </xf>
    <xf numFmtId="2" fontId="0" fillId="2" borderId="30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7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8" xfId="0" applyNumberFormat="1" applyFill="1" applyBorder="1" applyAlignment="1">
      <alignment/>
    </xf>
    <xf numFmtId="0" fontId="0" fillId="2" borderId="29" xfId="0" applyNumberFormat="1" applyFill="1" applyBorder="1" applyAlignment="1">
      <alignment/>
    </xf>
    <xf numFmtId="0" fontId="0" fillId="2" borderId="30" xfId="0" applyNumberFormat="1" applyFill="1" applyBorder="1" applyAlignment="1">
      <alignment/>
    </xf>
    <xf numFmtId="166" fontId="0" fillId="2" borderId="34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35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12</xdr:row>
      <xdr:rowOff>104775</xdr:rowOff>
    </xdr:from>
    <xdr:to>
      <xdr:col>3</xdr:col>
      <xdr:colOff>9525</xdr:colOff>
      <xdr:row>12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76500"/>
          <a:ext cx="523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2</xdr:col>
      <xdr:colOff>47625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76600"/>
          <a:ext cx="6096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28575</xdr:rowOff>
    </xdr:from>
    <xdr:to>
      <xdr:col>4</xdr:col>
      <xdr:colOff>28575</xdr:colOff>
      <xdr:row>17</xdr:row>
      <xdr:rowOff>504825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3686175"/>
          <a:ext cx="1152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3276600"/>
          <a:ext cx="6096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11</xdr:row>
      <xdr:rowOff>38100</xdr:rowOff>
    </xdr:from>
    <xdr:to>
      <xdr:col>9</xdr:col>
      <xdr:colOff>600075</xdr:colOff>
      <xdr:row>11</xdr:row>
      <xdr:rowOff>381000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2028825"/>
          <a:ext cx="5905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38100</xdr:rowOff>
    </xdr:from>
    <xdr:to>
      <xdr:col>12</xdr:col>
      <xdr:colOff>600075</xdr:colOff>
      <xdr:row>11</xdr:row>
      <xdr:rowOff>381000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2028825"/>
          <a:ext cx="5905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571500</xdr:colOff>
      <xdr:row>12</xdr:row>
      <xdr:rowOff>371475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2371725"/>
          <a:ext cx="11811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11</xdr:row>
      <xdr:rowOff>0</xdr:rowOff>
    </xdr:from>
    <xdr:to>
      <xdr:col>10</xdr:col>
      <xdr:colOff>9525</xdr:colOff>
      <xdr:row>12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990725"/>
          <a:ext cx="6096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600075</xdr:colOff>
      <xdr:row>17</xdr:row>
      <xdr:rowOff>85725</xdr:rowOff>
    </xdr:from>
    <xdr:to>
      <xdr:col>11</xdr:col>
      <xdr:colOff>0</xdr:colOff>
      <xdr:row>17</xdr:row>
      <xdr:rowOff>333375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57825" y="3743325"/>
          <a:ext cx="6191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47625</xdr:rowOff>
    </xdr:from>
    <xdr:to>
      <xdr:col>10</xdr:col>
      <xdr:colOff>952500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609600"/>
          <a:ext cx="9048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47625</xdr:rowOff>
    </xdr:from>
    <xdr:to>
      <xdr:col>11</xdr:col>
      <xdr:colOff>514350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447675"/>
          <a:ext cx="361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28575</xdr:rowOff>
    </xdr:from>
    <xdr:to>
      <xdr:col>12</xdr:col>
      <xdr:colOff>504825</xdr:colOff>
      <xdr:row>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428625"/>
          <a:ext cx="3524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17</xdr:row>
      <xdr:rowOff>38100</xdr:rowOff>
    </xdr:from>
    <xdr:to>
      <xdr:col>2</xdr:col>
      <xdr:colOff>400050</xdr:colOff>
      <xdr:row>22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29718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114300</xdr:rowOff>
    </xdr:from>
    <xdr:to>
      <xdr:col>2</xdr:col>
      <xdr:colOff>514350</xdr:colOff>
      <xdr:row>27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4019550"/>
          <a:ext cx="10763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47625</xdr:rowOff>
    </xdr:from>
    <xdr:to>
      <xdr:col>10</xdr:col>
      <xdr:colOff>952500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09550"/>
          <a:ext cx="9048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47625</xdr:rowOff>
    </xdr:from>
    <xdr:to>
      <xdr:col>11</xdr:col>
      <xdr:colOff>514350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7625"/>
          <a:ext cx="361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504825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28575"/>
          <a:ext cx="3524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9525</xdr:rowOff>
    </xdr:from>
    <xdr:to>
      <xdr:col>3</xdr:col>
      <xdr:colOff>476250</xdr:colOff>
      <xdr:row>20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2705100"/>
          <a:ext cx="10001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133350</xdr:rowOff>
    </xdr:from>
    <xdr:to>
      <xdr:col>3</xdr:col>
      <xdr:colOff>571500</xdr:colOff>
      <xdr:row>26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800475"/>
          <a:ext cx="1504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28575</xdr:rowOff>
    </xdr:from>
    <xdr:to>
      <xdr:col>10</xdr:col>
      <xdr:colOff>952500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0"/>
          <a:ext cx="9048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47625</xdr:rowOff>
    </xdr:from>
    <xdr:to>
      <xdr:col>11</xdr:col>
      <xdr:colOff>514350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625"/>
          <a:ext cx="361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504825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28575"/>
          <a:ext cx="3524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9525</xdr:rowOff>
    </xdr:from>
    <xdr:to>
      <xdr:col>3</xdr:col>
      <xdr:colOff>476250</xdr:colOff>
      <xdr:row>20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2562225"/>
          <a:ext cx="10001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133350</xdr:rowOff>
    </xdr:from>
    <xdr:to>
      <xdr:col>3</xdr:col>
      <xdr:colOff>571500</xdr:colOff>
      <xdr:row>26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657600"/>
          <a:ext cx="1504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J20" sqref="J20"/>
    </sheetView>
  </sheetViews>
  <sheetFormatPr defaultColWidth="9.140625" defaultRowHeight="12.75"/>
  <cols>
    <col min="1" max="1" width="3.7109375" style="14" customWidth="1"/>
    <col min="2" max="2" width="8.57421875" style="14" bestFit="1" customWidth="1"/>
    <col min="3" max="3" width="7.28125" style="14" customWidth="1"/>
    <col min="4" max="8" width="9.140625" style="14" customWidth="1"/>
    <col min="9" max="9" width="7.57421875" style="14" bestFit="1" customWidth="1"/>
    <col min="10" max="16384" width="9.140625" style="14" customWidth="1"/>
  </cols>
  <sheetData>
    <row r="1" spans="6:15" ht="12.75">
      <c r="F1" s="83" t="s">
        <v>30</v>
      </c>
      <c r="G1" s="83"/>
      <c r="H1" s="83"/>
      <c r="I1" s="83"/>
      <c r="J1" s="82" t="s">
        <v>35</v>
      </c>
      <c r="K1" s="82"/>
      <c r="L1" s="82"/>
      <c r="M1" s="83" t="s">
        <v>26</v>
      </c>
      <c r="N1" s="83"/>
      <c r="O1" s="83"/>
    </row>
    <row r="2" spans="7:15" ht="12.75">
      <c r="G2" s="13" t="s">
        <v>1</v>
      </c>
      <c r="H2" s="16" t="s">
        <v>3</v>
      </c>
      <c r="I2" s="13" t="s">
        <v>2</v>
      </c>
      <c r="J2" s="16" t="s">
        <v>28</v>
      </c>
      <c r="K2" s="16" t="s">
        <v>27</v>
      </c>
      <c r="L2" s="16" t="s">
        <v>29</v>
      </c>
      <c r="M2" s="16" t="s">
        <v>28</v>
      </c>
      <c r="N2" s="16" t="s">
        <v>27</v>
      </c>
      <c r="O2" s="16" t="s">
        <v>29</v>
      </c>
    </row>
    <row r="3" spans="2:15" ht="12.75">
      <c r="B3" s="83" t="s">
        <v>0</v>
      </c>
      <c r="C3" s="83"/>
      <c r="D3" s="83"/>
      <c r="G3" s="86" t="s">
        <v>31</v>
      </c>
      <c r="H3" s="86"/>
      <c r="I3" s="86"/>
      <c r="J3" s="17" t="s">
        <v>42</v>
      </c>
      <c r="K3" s="17" t="s">
        <v>40</v>
      </c>
      <c r="L3" s="17" t="s">
        <v>41</v>
      </c>
      <c r="M3" s="17" t="s">
        <v>51</v>
      </c>
      <c r="N3" s="17" t="s">
        <v>52</v>
      </c>
      <c r="O3" s="17" t="s">
        <v>50</v>
      </c>
    </row>
    <row r="4" spans="2:15" ht="15.75">
      <c r="B4" s="16" t="s">
        <v>32</v>
      </c>
      <c r="C4" s="18">
        <f>0.7*10^-2</f>
        <v>0.006999999999999999</v>
      </c>
      <c r="D4" s="15" t="s">
        <v>1</v>
      </c>
      <c r="F4" s="15" t="s">
        <v>5</v>
      </c>
      <c r="G4" s="19">
        <v>0.092</v>
      </c>
      <c r="H4" s="20">
        <v>15.593220338983048</v>
      </c>
      <c r="I4" s="21">
        <v>1.3</v>
      </c>
      <c r="J4" s="22">
        <f>G4*$C$4</f>
        <v>0.0006439999999999999</v>
      </c>
      <c r="K4" s="23">
        <f>H4*$C$5</f>
        <v>0.14033898305084747</v>
      </c>
      <c r="L4" s="24">
        <f>I4*$C$6</f>
        <v>0.0247</v>
      </c>
      <c r="M4" s="53">
        <f aca="true" t="shared" si="0" ref="M4:N7">J4*100/G4</f>
        <v>0.7</v>
      </c>
      <c r="N4" s="54">
        <f t="shared" si="0"/>
        <v>0.9000000000000002</v>
      </c>
      <c r="O4" s="55">
        <f>L4*100/I4</f>
        <v>1.8999999999999997</v>
      </c>
    </row>
    <row r="5" spans="2:15" ht="15.75">
      <c r="B5" s="16" t="s">
        <v>33</v>
      </c>
      <c r="C5" s="18">
        <f>0.9*10^-2</f>
        <v>0.009000000000000001</v>
      </c>
      <c r="D5" s="16" t="s">
        <v>3</v>
      </c>
      <c r="F5" s="15" t="s">
        <v>6</v>
      </c>
      <c r="G5" s="25">
        <v>0.131</v>
      </c>
      <c r="H5" s="26">
        <v>16.375</v>
      </c>
      <c r="I5" s="27">
        <v>1</v>
      </c>
      <c r="J5" s="28">
        <f>G5*$C$4</f>
        <v>0.000917</v>
      </c>
      <c r="K5" s="29">
        <f>H5*$C$5</f>
        <v>0.147375</v>
      </c>
      <c r="L5" s="30">
        <f>I5*$C$6</f>
        <v>0.019</v>
      </c>
      <c r="M5" s="56">
        <f t="shared" si="0"/>
        <v>0.6999999999999998</v>
      </c>
      <c r="N5" s="57">
        <f t="shared" si="0"/>
        <v>0.9</v>
      </c>
      <c r="O5" s="58">
        <f>L5*100/I5</f>
        <v>1.9</v>
      </c>
    </row>
    <row r="6" spans="2:15" ht="15.75">
      <c r="B6" s="16" t="s">
        <v>34</v>
      </c>
      <c r="C6" s="18">
        <f>1.9*10^-2</f>
        <v>0.019</v>
      </c>
      <c r="D6" s="15" t="s">
        <v>2</v>
      </c>
      <c r="F6" s="15" t="s">
        <v>7</v>
      </c>
      <c r="G6" s="25">
        <v>0.134</v>
      </c>
      <c r="H6" s="26">
        <v>16.34146341463415</v>
      </c>
      <c r="I6" s="27">
        <v>2</v>
      </c>
      <c r="J6" s="28">
        <f>G6*$C$4</f>
        <v>0.0009379999999999999</v>
      </c>
      <c r="K6" s="29">
        <f>H6*$C$5</f>
        <v>0.14707317073170736</v>
      </c>
      <c r="L6" s="30">
        <f>I6*$C$6</f>
        <v>0.038</v>
      </c>
      <c r="M6" s="56">
        <f t="shared" si="0"/>
        <v>0.7</v>
      </c>
      <c r="N6" s="57">
        <f t="shared" si="0"/>
        <v>0.9000000000000002</v>
      </c>
      <c r="O6" s="58">
        <f>L6*100/I6</f>
        <v>1.9</v>
      </c>
    </row>
    <row r="7" spans="6:15" ht="15.75">
      <c r="F7" s="15" t="s">
        <v>8</v>
      </c>
      <c r="G7" s="31">
        <v>0.162</v>
      </c>
      <c r="H7" s="32">
        <v>16.2</v>
      </c>
      <c r="I7" s="33">
        <v>2.4</v>
      </c>
      <c r="J7" s="34">
        <f>G7*$C$4</f>
        <v>0.001134</v>
      </c>
      <c r="K7" s="35">
        <f>H7*$C$5</f>
        <v>0.1458</v>
      </c>
      <c r="L7" s="36">
        <f>I7*$C$6</f>
        <v>0.045599999999999995</v>
      </c>
      <c r="M7" s="59">
        <f t="shared" si="0"/>
        <v>0.7</v>
      </c>
      <c r="N7" s="60">
        <f t="shared" si="0"/>
        <v>0.9000000000000001</v>
      </c>
      <c r="O7" s="61">
        <f>L7*100/I7</f>
        <v>1.9</v>
      </c>
    </row>
    <row r="8" ht="12.75">
      <c r="F8" s="15"/>
    </row>
    <row r="9" ht="13.5" thickBot="1"/>
    <row r="10" spans="2:16" ht="16.5" thickBot="1">
      <c r="B10" s="91" t="s">
        <v>4</v>
      </c>
      <c r="C10" s="92"/>
      <c r="D10" s="92"/>
      <c r="E10" s="92"/>
      <c r="F10" s="92"/>
      <c r="G10" s="92"/>
      <c r="H10" s="48"/>
      <c r="J10" s="91" t="s">
        <v>43</v>
      </c>
      <c r="K10" s="92"/>
      <c r="L10" s="92"/>
      <c r="M10" s="92"/>
      <c r="N10" s="92"/>
      <c r="O10" s="92"/>
      <c r="P10" s="48"/>
    </row>
    <row r="11" spans="2:16" ht="12.75">
      <c r="B11" s="87" t="s">
        <v>44</v>
      </c>
      <c r="C11" s="88"/>
      <c r="D11" s="88"/>
      <c r="E11" s="88"/>
      <c r="F11" s="88"/>
      <c r="G11" s="88"/>
      <c r="H11" s="89"/>
      <c r="J11" s="87" t="s">
        <v>45</v>
      </c>
      <c r="K11" s="88"/>
      <c r="L11" s="88"/>
      <c r="M11" s="88"/>
      <c r="N11" s="88"/>
      <c r="O11" s="88"/>
      <c r="P11" s="89"/>
    </row>
    <row r="12" spans="2:16" ht="30" customHeight="1">
      <c r="B12" s="70" t="s">
        <v>38</v>
      </c>
      <c r="C12" s="71" t="s">
        <v>27</v>
      </c>
      <c r="D12" s="72" t="s">
        <v>38</v>
      </c>
      <c r="E12" s="71" t="s">
        <v>27</v>
      </c>
      <c r="F12" s="73"/>
      <c r="G12" s="62" t="s">
        <v>53</v>
      </c>
      <c r="H12" s="63" t="s">
        <v>53</v>
      </c>
      <c r="J12" s="70"/>
      <c r="K12" s="84" t="s">
        <v>29</v>
      </c>
      <c r="L12" s="84"/>
      <c r="M12" s="74"/>
      <c r="N12" s="75" t="s">
        <v>29</v>
      </c>
      <c r="O12" s="62" t="s">
        <v>53</v>
      </c>
      <c r="P12" s="63" t="s">
        <v>53</v>
      </c>
    </row>
    <row r="13" spans="2:16" ht="30" customHeight="1">
      <c r="B13" s="38" t="s">
        <v>39</v>
      </c>
      <c r="C13" s="39"/>
      <c r="D13" s="40" t="s">
        <v>19</v>
      </c>
      <c r="E13" s="41" t="s">
        <v>36</v>
      </c>
      <c r="F13" s="42"/>
      <c r="G13" s="64" t="s">
        <v>52</v>
      </c>
      <c r="H13" s="69" t="s">
        <v>54</v>
      </c>
      <c r="J13" s="38" t="s">
        <v>39</v>
      </c>
      <c r="K13" s="90"/>
      <c r="L13" s="90"/>
      <c r="M13" s="40" t="s">
        <v>19</v>
      </c>
      <c r="N13" s="41" t="s">
        <v>37</v>
      </c>
      <c r="O13" s="64" t="s">
        <v>52</v>
      </c>
      <c r="P13" s="69" t="s">
        <v>54</v>
      </c>
    </row>
    <row r="14" spans="2:16" ht="15" customHeight="1">
      <c r="B14" s="43">
        <f>H5+H6</f>
        <v>32.71646341463415</v>
      </c>
      <c r="C14" s="42">
        <f>SQRT(K5^2+K6^2)</f>
        <v>0.2082064076201257</v>
      </c>
      <c r="D14" s="57">
        <f>32.723</f>
        <v>32.723</v>
      </c>
      <c r="E14" s="29">
        <f>D14*$C$5</f>
        <v>0.294507</v>
      </c>
      <c r="F14" s="42"/>
      <c r="G14" s="67">
        <f>C14*100/B14</f>
        <v>0.6363964374187049</v>
      </c>
      <c r="H14" s="49">
        <f>E14*100/D14</f>
        <v>0.9</v>
      </c>
      <c r="J14" s="43">
        <f>(I5*I6)/(I5+I6)</f>
        <v>0.6666666666666666</v>
      </c>
      <c r="K14" s="85">
        <f>(J14^2)*SQRT(((1/I5^2)*(L5/I5)^2+(1/I6^2)*(L6/I6)^2))</f>
        <v>0.009441175904999112</v>
      </c>
      <c r="L14" s="85"/>
      <c r="M14" s="15">
        <f>0.668</f>
        <v>0.668</v>
      </c>
      <c r="N14" s="42">
        <f>M14*$C$6</f>
        <v>0.012692</v>
      </c>
      <c r="O14" s="67">
        <f>K14*100/J14</f>
        <v>1.4161763857498668</v>
      </c>
      <c r="P14" s="49">
        <f>N14*100/M14</f>
        <v>1.9000000000000001</v>
      </c>
    </row>
    <row r="15" spans="2:16" ht="13.5" thickBot="1">
      <c r="B15" s="43"/>
      <c r="C15" s="42"/>
      <c r="D15" s="29"/>
      <c r="E15" s="29"/>
      <c r="F15" s="42"/>
      <c r="G15" s="68"/>
      <c r="H15" s="47"/>
      <c r="J15" s="43"/>
      <c r="K15" s="42"/>
      <c r="L15" s="29"/>
      <c r="M15" s="29"/>
      <c r="N15" s="42"/>
      <c r="O15" s="42"/>
      <c r="P15" s="47"/>
    </row>
    <row r="16" spans="2:16" ht="12.75">
      <c r="B16" s="87" t="s">
        <v>46</v>
      </c>
      <c r="C16" s="88"/>
      <c r="D16" s="88"/>
      <c r="E16" s="88"/>
      <c r="F16" s="88"/>
      <c r="G16" s="88"/>
      <c r="H16" s="89"/>
      <c r="J16" s="87" t="s">
        <v>47</v>
      </c>
      <c r="K16" s="88"/>
      <c r="L16" s="88"/>
      <c r="M16" s="88"/>
      <c r="N16" s="88"/>
      <c r="O16" s="88"/>
      <c r="P16" s="89"/>
    </row>
    <row r="17" spans="1:16" ht="30" customHeight="1">
      <c r="A17" s="16"/>
      <c r="B17" s="70" t="s">
        <v>38</v>
      </c>
      <c r="C17" s="84" t="s">
        <v>27</v>
      </c>
      <c r="D17" s="84"/>
      <c r="E17" s="74"/>
      <c r="F17" s="75" t="s">
        <v>27</v>
      </c>
      <c r="G17" s="62" t="s">
        <v>53</v>
      </c>
      <c r="H17" s="63" t="s">
        <v>53</v>
      </c>
      <c r="J17" s="70" t="s">
        <v>48</v>
      </c>
      <c r="K17" s="71" t="s">
        <v>29</v>
      </c>
      <c r="L17" s="72" t="s">
        <v>48</v>
      </c>
      <c r="M17" s="71" t="s">
        <v>29</v>
      </c>
      <c r="N17" s="76"/>
      <c r="O17" s="62" t="s">
        <v>53</v>
      </c>
      <c r="P17" s="63" t="s">
        <v>53</v>
      </c>
    </row>
    <row r="18" spans="2:16" ht="39.75" customHeight="1">
      <c r="B18" s="38" t="s">
        <v>39</v>
      </c>
      <c r="C18" s="39"/>
      <c r="D18" s="42"/>
      <c r="E18" s="40" t="s">
        <v>19</v>
      </c>
      <c r="F18" s="41" t="s">
        <v>36</v>
      </c>
      <c r="G18" s="64" t="s">
        <v>52</v>
      </c>
      <c r="H18" s="69" t="s">
        <v>54</v>
      </c>
      <c r="J18" s="38" t="s">
        <v>39</v>
      </c>
      <c r="K18" s="39"/>
      <c r="L18" s="40" t="s">
        <v>19</v>
      </c>
      <c r="M18" s="45" t="s">
        <v>49</v>
      </c>
      <c r="N18" s="46"/>
      <c r="O18" s="64" t="s">
        <v>52</v>
      </c>
      <c r="P18" s="69" t="s">
        <v>54</v>
      </c>
    </row>
    <row r="19" spans="2:16" ht="15" customHeight="1">
      <c r="B19" s="43">
        <f>(H5*H6)/(H5+H6)</f>
        <v>8.179107259342093</v>
      </c>
      <c r="C19" s="85">
        <f>(B19^2)*SQRT(((1/H5^2)*(K5/H5)^2+(1/H6^2)*(K6/H6)^2))</f>
        <v>0.05205154721110775</v>
      </c>
      <c r="D19" s="85"/>
      <c r="E19" s="50">
        <f>8.1764</f>
        <v>8.1764</v>
      </c>
      <c r="F19" s="29">
        <f>E19*$C$5</f>
        <v>0.0735876</v>
      </c>
      <c r="G19" s="67">
        <f>C19*100/B19</f>
        <v>0.6363964374187049</v>
      </c>
      <c r="H19" s="49">
        <f>F19*100/E19</f>
        <v>0.9000000000000001</v>
      </c>
      <c r="J19" s="43">
        <f>I5+I6</f>
        <v>3</v>
      </c>
      <c r="K19" s="42">
        <f>SQRT(L5^2+L6^2)</f>
        <v>0.042485291572496</v>
      </c>
      <c r="L19" s="52">
        <v>2998</v>
      </c>
      <c r="M19" s="50">
        <f>L19*$C$6</f>
        <v>56.961999999999996</v>
      </c>
      <c r="N19" s="42"/>
      <c r="O19" s="67">
        <f>K19*100/J19</f>
        <v>1.4161763857498668</v>
      </c>
      <c r="P19" s="49">
        <f>M19*100/L19</f>
        <v>1.9</v>
      </c>
    </row>
    <row r="20" spans="2:16" ht="13.5" thickBot="1">
      <c r="B20" s="51"/>
      <c r="C20" s="44"/>
      <c r="D20" s="44"/>
      <c r="E20" s="44"/>
      <c r="F20" s="44"/>
      <c r="G20" s="68"/>
      <c r="H20" s="47"/>
      <c r="J20" s="51"/>
      <c r="K20" s="44"/>
      <c r="L20" s="44"/>
      <c r="M20" s="44"/>
      <c r="N20" s="44"/>
      <c r="O20" s="68"/>
      <c r="P20" s="47"/>
    </row>
  </sheetData>
  <mergeCells count="16">
    <mergeCell ref="M1:O1"/>
    <mergeCell ref="B11:H11"/>
    <mergeCell ref="J11:P11"/>
    <mergeCell ref="J16:P16"/>
    <mergeCell ref="B16:H16"/>
    <mergeCell ref="K12:L12"/>
    <mergeCell ref="K13:L13"/>
    <mergeCell ref="K14:L14"/>
    <mergeCell ref="B10:G10"/>
    <mergeCell ref="J10:O10"/>
    <mergeCell ref="J1:L1"/>
    <mergeCell ref="B3:D3"/>
    <mergeCell ref="C17:D17"/>
    <mergeCell ref="C19:D19"/>
    <mergeCell ref="F1:I1"/>
    <mergeCell ref="G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8.28125" style="65" customWidth="1"/>
    <col min="4" max="4" width="10.7109375" style="0" customWidth="1"/>
    <col min="5" max="5" width="6.28125" style="0" customWidth="1"/>
    <col min="6" max="6" width="6.8515625" style="1" bestFit="1" customWidth="1"/>
    <col min="7" max="7" width="5.57421875" style="1" bestFit="1" customWidth="1"/>
    <col min="8" max="8" width="6.140625" style="1" bestFit="1" customWidth="1"/>
    <col min="9" max="9" width="11.8515625" style="1" bestFit="1" customWidth="1"/>
    <col min="10" max="10" width="8.57421875" style="0" bestFit="1" customWidth="1"/>
    <col min="11" max="11" width="14.8515625" style="0" customWidth="1"/>
    <col min="12" max="12" width="9.140625" style="1" customWidth="1"/>
    <col min="14" max="14" width="5.7109375" style="0" customWidth="1"/>
  </cols>
  <sheetData>
    <row r="1" ht="7.5" customHeight="1" thickBot="1"/>
    <row r="2" spans="2:15" ht="16.5" thickBot="1">
      <c r="B2" s="94" t="s">
        <v>69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5" ht="7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.75">
      <c r="B4" s="97" t="s">
        <v>9</v>
      </c>
      <c r="C4" s="142" t="s">
        <v>10</v>
      </c>
      <c r="D4" s="121" t="s">
        <v>11</v>
      </c>
      <c r="E4" s="121" t="s">
        <v>12</v>
      </c>
      <c r="F4" s="122" t="s">
        <v>13</v>
      </c>
      <c r="G4" s="121" t="s">
        <v>14</v>
      </c>
      <c r="H4" s="121" t="s">
        <v>15</v>
      </c>
      <c r="I4" s="122" t="s">
        <v>16</v>
      </c>
      <c r="J4" s="121" t="s">
        <v>17</v>
      </c>
      <c r="K4" s="122" t="s">
        <v>18</v>
      </c>
      <c r="L4" s="121"/>
      <c r="M4" s="162"/>
      <c r="N4" s="98"/>
      <c r="O4" s="115" t="s">
        <v>67</v>
      </c>
    </row>
    <row r="5" spans="2:15" ht="33.75">
      <c r="B5" s="99"/>
      <c r="C5" s="123" t="s">
        <v>19</v>
      </c>
      <c r="D5" s="123" t="s">
        <v>66</v>
      </c>
      <c r="E5" s="123" t="s">
        <v>21</v>
      </c>
      <c r="F5" s="123" t="s">
        <v>22</v>
      </c>
      <c r="G5" s="123"/>
      <c r="H5" s="123" t="s">
        <v>21</v>
      </c>
      <c r="I5" s="123" t="s">
        <v>23</v>
      </c>
      <c r="J5" s="123" t="s">
        <v>24</v>
      </c>
      <c r="K5" s="124"/>
      <c r="L5" s="123"/>
      <c r="M5" s="163"/>
      <c r="N5" s="100"/>
      <c r="O5" s="116" t="s">
        <v>68</v>
      </c>
    </row>
    <row r="6" spans="2:15" ht="12.75">
      <c r="B6" s="102"/>
      <c r="C6" s="143"/>
      <c r="D6" s="125"/>
      <c r="E6" s="125"/>
      <c r="F6" s="126"/>
      <c r="G6" s="125"/>
      <c r="H6" s="125"/>
      <c r="I6" s="126"/>
      <c r="J6" s="125"/>
      <c r="K6" s="126"/>
      <c r="L6" s="125"/>
      <c r="M6" s="164"/>
      <c r="N6" s="103"/>
      <c r="O6" s="117"/>
    </row>
    <row r="7" spans="1:15" s="8" customFormat="1" ht="12.75">
      <c r="A7" s="79">
        <v>1</v>
      </c>
      <c r="B7" s="105" t="s">
        <v>55</v>
      </c>
      <c r="C7" s="144">
        <f>5</f>
        <v>5</v>
      </c>
      <c r="D7" s="127">
        <f aca="true" t="shared" si="0" ref="D7:D16">C7/1000</f>
        <v>0.005</v>
      </c>
      <c r="E7" s="128">
        <v>50</v>
      </c>
      <c r="F7" s="129">
        <f>0.75</f>
        <v>0.75</v>
      </c>
      <c r="G7" s="129">
        <f>0.341</f>
        <v>0.341</v>
      </c>
      <c r="H7" s="129">
        <v>9</v>
      </c>
      <c r="I7" s="130">
        <f>0.007*G7</f>
        <v>0.0023870000000000002</v>
      </c>
      <c r="J7" s="131">
        <f>G7/D7</f>
        <v>68.2</v>
      </c>
      <c r="K7" s="130">
        <f>J7*(SQRT((I7/G7)^2+(F7/C7)^2))</f>
        <v>10.241133275180047</v>
      </c>
      <c r="L7" s="129">
        <f>J7/(K7^2)</f>
        <v>0.6502619450193121</v>
      </c>
      <c r="M7" s="165">
        <f>1/(K7^2)</f>
        <v>0.0095346326249166</v>
      </c>
      <c r="N7" s="107"/>
      <c r="O7" s="118">
        <f>D7*$D$20</f>
        <v>0.2907910272546893</v>
      </c>
    </row>
    <row r="8" spans="1:15" s="8" customFormat="1" ht="12.75">
      <c r="A8" s="79">
        <v>2</v>
      </c>
      <c r="B8" s="108" t="s">
        <v>56</v>
      </c>
      <c r="C8" s="145">
        <f>5.5</f>
        <v>5.5</v>
      </c>
      <c r="D8" s="132">
        <f t="shared" si="0"/>
        <v>0.0055</v>
      </c>
      <c r="E8" s="133">
        <v>50</v>
      </c>
      <c r="F8" s="134">
        <f aca="true" t="shared" si="1" ref="F8:F16">0.75</f>
        <v>0.75</v>
      </c>
      <c r="G8" s="134">
        <f>0.37</f>
        <v>0.37</v>
      </c>
      <c r="H8" s="134">
        <v>9</v>
      </c>
      <c r="I8" s="135">
        <f aca="true" t="shared" si="2" ref="I8:I16">0.007*G8</f>
        <v>0.00259</v>
      </c>
      <c r="J8" s="136">
        <f>G8/D8</f>
        <v>67.27272727272728</v>
      </c>
      <c r="K8" s="135">
        <f aca="true" t="shared" si="3" ref="K8:K16">J8*(SQRT((I8/G8)^2+(F8/C8)^2))</f>
        <v>9.185632433721219</v>
      </c>
      <c r="L8" s="134">
        <f aca="true" t="shared" si="4" ref="L8:L16">J8/(K8^2)</f>
        <v>0.7972984294490866</v>
      </c>
      <c r="M8" s="166">
        <f aca="true" t="shared" si="5" ref="M8:M16">1/(K8^2)</f>
        <v>0.011851733410729665</v>
      </c>
      <c r="N8" s="111"/>
      <c r="O8" s="119">
        <f>D8*$D$20</f>
        <v>0.31987012998015824</v>
      </c>
    </row>
    <row r="9" spans="1:15" s="8" customFormat="1" ht="12.75">
      <c r="A9" s="79">
        <v>3</v>
      </c>
      <c r="B9" s="108" t="s">
        <v>57</v>
      </c>
      <c r="C9" s="145">
        <f>6</f>
        <v>6</v>
      </c>
      <c r="D9" s="132">
        <f t="shared" si="0"/>
        <v>0.006</v>
      </c>
      <c r="E9" s="133">
        <v>50</v>
      </c>
      <c r="F9" s="134">
        <f t="shared" si="1"/>
        <v>0.75</v>
      </c>
      <c r="G9" s="134">
        <f>0.4</f>
        <v>0.4</v>
      </c>
      <c r="H9" s="134">
        <v>9</v>
      </c>
      <c r="I9" s="135">
        <f t="shared" si="2"/>
        <v>0.0028000000000000004</v>
      </c>
      <c r="J9" s="136">
        <f aca="true" t="shared" si="6" ref="J9:J16">G9/D9</f>
        <v>66.66666666666667</v>
      </c>
      <c r="K9" s="135">
        <f t="shared" si="3"/>
        <v>8.34638977176493</v>
      </c>
      <c r="L9" s="134">
        <f t="shared" si="4"/>
        <v>0.9569988516013781</v>
      </c>
      <c r="M9" s="166">
        <f t="shared" si="5"/>
        <v>0.014354982774020671</v>
      </c>
      <c r="N9" s="111"/>
      <c r="O9" s="119">
        <f>D9*$D$20</f>
        <v>0.34894923270562717</v>
      </c>
    </row>
    <row r="10" spans="1:15" ht="12.75">
      <c r="A10" s="79">
        <v>4</v>
      </c>
      <c r="B10" s="108" t="s">
        <v>58</v>
      </c>
      <c r="C10" s="145">
        <f>7</f>
        <v>7</v>
      </c>
      <c r="D10" s="132">
        <f t="shared" si="0"/>
        <v>0.007</v>
      </c>
      <c r="E10" s="133">
        <v>50</v>
      </c>
      <c r="F10" s="134">
        <f t="shared" si="1"/>
        <v>0.75</v>
      </c>
      <c r="G10" s="134">
        <f>0.45</f>
        <v>0.45</v>
      </c>
      <c r="H10" s="134">
        <v>9</v>
      </c>
      <c r="I10" s="135">
        <f t="shared" si="2"/>
        <v>0.00315</v>
      </c>
      <c r="J10" s="136">
        <f t="shared" si="6"/>
        <v>64.28571428571429</v>
      </c>
      <c r="K10" s="135">
        <f t="shared" si="3"/>
        <v>6.902439448896984</v>
      </c>
      <c r="L10" s="134">
        <f t="shared" si="4"/>
        <v>1.3493023064611716</v>
      </c>
      <c r="M10" s="166">
        <f t="shared" si="5"/>
        <v>0.020989146989396003</v>
      </c>
      <c r="N10" s="100"/>
      <c r="O10" s="119">
        <f>D10*$D$20</f>
        <v>0.407107438156565</v>
      </c>
    </row>
    <row r="11" spans="1:15" ht="12.75">
      <c r="A11" s="79">
        <v>5</v>
      </c>
      <c r="B11" s="108" t="s">
        <v>59</v>
      </c>
      <c r="C11" s="145">
        <f>9</f>
        <v>9</v>
      </c>
      <c r="D11" s="132">
        <f t="shared" si="0"/>
        <v>0.009</v>
      </c>
      <c r="E11" s="133">
        <v>50</v>
      </c>
      <c r="F11" s="134">
        <f t="shared" si="1"/>
        <v>0.75</v>
      </c>
      <c r="G11" s="134">
        <f>0.55</f>
        <v>0.55</v>
      </c>
      <c r="H11" s="134">
        <v>9</v>
      </c>
      <c r="I11" s="135">
        <f t="shared" si="2"/>
        <v>0.0038500000000000006</v>
      </c>
      <c r="J11" s="136">
        <f t="shared" si="6"/>
        <v>61.11111111111112</v>
      </c>
      <c r="K11" s="135">
        <f t="shared" si="3"/>
        <v>5.110527677382195</v>
      </c>
      <c r="L11" s="134">
        <f t="shared" si="4"/>
        <v>2.339853629156308</v>
      </c>
      <c r="M11" s="166">
        <f t="shared" si="5"/>
        <v>0.03828851393164868</v>
      </c>
      <c r="N11" s="100"/>
      <c r="O11" s="119">
        <f>D11*$D$20</f>
        <v>0.5234238490584407</v>
      </c>
    </row>
    <row r="12" spans="1:15" ht="12.75">
      <c r="A12" s="79">
        <v>6</v>
      </c>
      <c r="B12" s="108" t="s">
        <v>60</v>
      </c>
      <c r="C12" s="145">
        <f>10</f>
        <v>10</v>
      </c>
      <c r="D12" s="132">
        <f t="shared" si="0"/>
        <v>0.01</v>
      </c>
      <c r="E12" s="133">
        <v>50</v>
      </c>
      <c r="F12" s="134">
        <f t="shared" si="1"/>
        <v>0.75</v>
      </c>
      <c r="G12" s="134">
        <f>0.6</f>
        <v>0.6</v>
      </c>
      <c r="H12" s="134">
        <v>9</v>
      </c>
      <c r="I12" s="135">
        <f t="shared" si="2"/>
        <v>0.0042</v>
      </c>
      <c r="J12" s="136">
        <f t="shared" si="6"/>
        <v>60</v>
      </c>
      <c r="K12" s="135">
        <f t="shared" si="3"/>
        <v>4.519557500463956</v>
      </c>
      <c r="L12" s="134">
        <f t="shared" si="4"/>
        <v>2.937375161555633</v>
      </c>
      <c r="M12" s="166">
        <f t="shared" si="5"/>
        <v>0.048956252692593884</v>
      </c>
      <c r="N12" s="100"/>
      <c r="O12" s="119">
        <f>D12*$D$20</f>
        <v>0.5815820545093786</v>
      </c>
    </row>
    <row r="13" spans="1:15" ht="12.75">
      <c r="A13" s="79">
        <v>7</v>
      </c>
      <c r="B13" s="108" t="s">
        <v>61</v>
      </c>
      <c r="C13" s="145">
        <f>12.8</f>
        <v>12.8</v>
      </c>
      <c r="D13" s="132">
        <f t="shared" si="0"/>
        <v>0.0128</v>
      </c>
      <c r="E13" s="133">
        <v>50</v>
      </c>
      <c r="F13" s="134">
        <f t="shared" si="1"/>
        <v>0.75</v>
      </c>
      <c r="G13" s="134">
        <f>0.75</f>
        <v>0.75</v>
      </c>
      <c r="H13" s="134">
        <v>9</v>
      </c>
      <c r="I13" s="135">
        <f t="shared" si="2"/>
        <v>0.00525</v>
      </c>
      <c r="J13" s="136">
        <f t="shared" si="6"/>
        <v>58.59375</v>
      </c>
      <c r="K13" s="135">
        <f t="shared" si="3"/>
        <v>3.4576407396360906</v>
      </c>
      <c r="L13" s="134">
        <f t="shared" si="4"/>
        <v>4.901077392335317</v>
      </c>
      <c r="M13" s="166">
        <f t="shared" si="5"/>
        <v>0.08364505416252274</v>
      </c>
      <c r="N13" s="100"/>
      <c r="O13" s="119">
        <f>D13*$D$20</f>
        <v>0.7444250297720046</v>
      </c>
    </row>
    <row r="14" spans="1:15" ht="12.75">
      <c r="A14" s="79">
        <v>8</v>
      </c>
      <c r="B14" s="108" t="s">
        <v>62</v>
      </c>
      <c r="C14" s="145">
        <f>16</f>
        <v>16</v>
      </c>
      <c r="D14" s="132">
        <f t="shared" si="0"/>
        <v>0.016</v>
      </c>
      <c r="E14" s="133">
        <v>50</v>
      </c>
      <c r="F14" s="134">
        <f t="shared" si="1"/>
        <v>0.75</v>
      </c>
      <c r="G14" s="134">
        <f>0.95</f>
        <v>0.95</v>
      </c>
      <c r="H14" s="134">
        <v>9</v>
      </c>
      <c r="I14" s="135">
        <f t="shared" si="2"/>
        <v>0.00665</v>
      </c>
      <c r="J14" s="136">
        <f t="shared" si="6"/>
        <v>59.37499999999999</v>
      </c>
      <c r="K14" s="135">
        <f t="shared" si="3"/>
        <v>2.8140653467243375</v>
      </c>
      <c r="L14" s="134">
        <f t="shared" si="4"/>
        <v>7.497824422771858</v>
      </c>
      <c r="M14" s="166">
        <f t="shared" si="5"/>
        <v>0.12627914817299973</v>
      </c>
      <c r="N14" s="100"/>
      <c r="O14" s="119">
        <f>D14*$D$20</f>
        <v>0.9305312872150059</v>
      </c>
    </row>
    <row r="15" spans="1:15" ht="12.75">
      <c r="A15" s="79">
        <v>9</v>
      </c>
      <c r="B15" s="108" t="s">
        <v>63</v>
      </c>
      <c r="C15" s="145">
        <f>22.1</f>
        <v>22.1</v>
      </c>
      <c r="D15" s="132">
        <f t="shared" si="0"/>
        <v>0.0221</v>
      </c>
      <c r="E15" s="133">
        <v>50</v>
      </c>
      <c r="F15" s="134">
        <f t="shared" si="1"/>
        <v>0.75</v>
      </c>
      <c r="G15" s="134">
        <f>1.3</f>
        <v>1.3</v>
      </c>
      <c r="H15" s="134">
        <v>9</v>
      </c>
      <c r="I15" s="135">
        <f t="shared" si="2"/>
        <v>0.0091</v>
      </c>
      <c r="J15" s="136">
        <f t="shared" si="6"/>
        <v>58.8235294117647</v>
      </c>
      <c r="K15" s="135">
        <f t="shared" si="3"/>
        <v>2.038297953976288</v>
      </c>
      <c r="L15" s="134">
        <f t="shared" si="4"/>
        <v>14.158450981084616</v>
      </c>
      <c r="M15" s="166">
        <f t="shared" si="5"/>
        <v>0.2406936666784385</v>
      </c>
      <c r="N15" s="100"/>
      <c r="O15" s="119">
        <f>D15*$D$20</f>
        <v>1.285296340465727</v>
      </c>
    </row>
    <row r="16" spans="1:15" ht="12.75">
      <c r="A16" s="79">
        <v>10</v>
      </c>
      <c r="B16" s="112" t="s">
        <v>64</v>
      </c>
      <c r="C16" s="146">
        <f>32</f>
        <v>32</v>
      </c>
      <c r="D16" s="137">
        <f t="shared" si="0"/>
        <v>0.032</v>
      </c>
      <c r="E16" s="138">
        <v>50</v>
      </c>
      <c r="F16" s="139">
        <f t="shared" si="1"/>
        <v>0.75</v>
      </c>
      <c r="G16" s="139">
        <f>1.8</f>
        <v>1.8</v>
      </c>
      <c r="H16" s="139">
        <v>9</v>
      </c>
      <c r="I16" s="140">
        <f t="shared" si="2"/>
        <v>0.0126</v>
      </c>
      <c r="J16" s="141">
        <f t="shared" si="6"/>
        <v>56.25</v>
      </c>
      <c r="K16" s="140">
        <f t="shared" si="3"/>
        <v>1.375903522835228</v>
      </c>
      <c r="L16" s="139">
        <f t="shared" si="4"/>
        <v>29.713004009369456</v>
      </c>
      <c r="M16" s="167">
        <f t="shared" si="5"/>
        <v>0.5282311823887903</v>
      </c>
      <c r="N16" s="103"/>
      <c r="O16" s="120">
        <f>D16*$D$20</f>
        <v>1.8610625744300118</v>
      </c>
    </row>
    <row r="17" spans="11:15" ht="12.75">
      <c r="K17" s="170" t="s">
        <v>65</v>
      </c>
      <c r="L17" s="168">
        <f>SUM(L7:L16)</f>
        <v>65.30144712880414</v>
      </c>
      <c r="M17" s="169">
        <f>SUM(M7:M16)</f>
        <v>1.1228243138260567</v>
      </c>
      <c r="N17" s="113"/>
      <c r="O17" s="114"/>
    </row>
    <row r="18" spans="2:5" ht="12.75">
      <c r="B18" s="147"/>
      <c r="C18" s="148"/>
      <c r="D18" s="106"/>
      <c r="E18" s="149"/>
    </row>
    <row r="19" spans="2:13" ht="12.75">
      <c r="B19" s="150"/>
      <c r="C19" s="151"/>
      <c r="D19" s="110"/>
      <c r="E19" s="101"/>
      <c r="M19" s="10"/>
    </row>
    <row r="20" spans="2:5" ht="12.75">
      <c r="B20" s="99"/>
      <c r="C20" s="152"/>
      <c r="D20" s="109">
        <f>L17/M17</f>
        <v>58.158205450937864</v>
      </c>
      <c r="E20" s="153" t="s">
        <v>3</v>
      </c>
    </row>
    <row r="21" spans="2:5" ht="12.75">
      <c r="B21" s="99"/>
      <c r="C21" s="152"/>
      <c r="D21" s="100"/>
      <c r="E21" s="101"/>
    </row>
    <row r="22" spans="2:5" ht="12.75">
      <c r="B22" s="99"/>
      <c r="C22" s="152"/>
      <c r="D22" s="100"/>
      <c r="E22" s="101"/>
    </row>
    <row r="23" spans="2:5" ht="12.75">
      <c r="B23" s="154"/>
      <c r="C23" s="155"/>
      <c r="D23" s="156"/>
      <c r="E23" s="157"/>
    </row>
    <row r="24" spans="2:5" ht="12.75">
      <c r="B24" s="99"/>
      <c r="C24" s="152"/>
      <c r="D24" s="100"/>
      <c r="E24" s="101"/>
    </row>
    <row r="25" spans="2:5" ht="12.75">
      <c r="B25" s="99"/>
      <c r="C25" s="152"/>
      <c r="D25" s="158"/>
      <c r="E25" s="101"/>
    </row>
    <row r="26" spans="2:5" ht="12.75">
      <c r="B26" s="99"/>
      <c r="C26" s="152"/>
      <c r="D26" s="159">
        <f>SQRT(1/(SUM(M7:M17)))</f>
        <v>0.6673122509655215</v>
      </c>
      <c r="E26" s="153" t="s">
        <v>3</v>
      </c>
    </row>
    <row r="27" spans="2:5" ht="12.75">
      <c r="B27" s="99"/>
      <c r="C27" s="152"/>
      <c r="D27" s="100"/>
      <c r="E27" s="101"/>
    </row>
    <row r="28" spans="2:5" ht="12.75">
      <c r="B28" s="154"/>
      <c r="C28" s="155"/>
      <c r="D28" s="156"/>
      <c r="E28" s="157"/>
    </row>
    <row r="29" spans="2:5" ht="12.75">
      <c r="B29" s="99"/>
      <c r="C29" s="152"/>
      <c r="D29" s="100"/>
      <c r="E29" s="101"/>
    </row>
    <row r="30" spans="2:5" ht="12.75">
      <c r="B30" s="99" t="s">
        <v>26</v>
      </c>
      <c r="C30" s="152"/>
      <c r="D30" s="160">
        <f>D26*100/D20</f>
        <v>1.147408600027153</v>
      </c>
      <c r="E30" s="101"/>
    </row>
    <row r="31" spans="2:5" ht="12.75">
      <c r="B31" s="102"/>
      <c r="C31" s="161"/>
      <c r="D31" s="103"/>
      <c r="E31" s="104"/>
    </row>
  </sheetData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17" sqref="E17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8.28125" style="65" customWidth="1"/>
    <col min="6" max="8" width="9.140625" style="1" customWidth="1"/>
    <col min="9" max="9" width="12.7109375" style="1" customWidth="1"/>
    <col min="10" max="10" width="8.8515625" style="0" customWidth="1"/>
    <col min="11" max="11" width="14.8515625" style="0" customWidth="1"/>
    <col min="12" max="12" width="9.140625" style="1" customWidth="1"/>
  </cols>
  <sheetData>
    <row r="1" spans="2:11" ht="12.75">
      <c r="B1" s="1" t="s">
        <v>9</v>
      </c>
      <c r="C1" s="65" t="s">
        <v>10</v>
      </c>
      <c r="D1" s="1" t="s">
        <v>11</v>
      </c>
      <c r="E1" s="1" t="s">
        <v>12</v>
      </c>
      <c r="F1" s="2" t="s">
        <v>13</v>
      </c>
      <c r="G1" s="1" t="s">
        <v>14</v>
      </c>
      <c r="H1" s="1" t="s">
        <v>15</v>
      </c>
      <c r="I1" s="2" t="s">
        <v>16</v>
      </c>
      <c r="J1" s="1" t="s">
        <v>17</v>
      </c>
      <c r="K1" s="2" t="s">
        <v>18</v>
      </c>
    </row>
    <row r="2" spans="3:12" ht="33.75">
      <c r="C2" s="3" t="s">
        <v>19</v>
      </c>
      <c r="D2" s="3" t="s">
        <v>20</v>
      </c>
      <c r="E2" s="3" t="s">
        <v>21</v>
      </c>
      <c r="F2" s="3" t="s">
        <v>22</v>
      </c>
      <c r="G2" s="3"/>
      <c r="H2" s="3" t="s">
        <v>21</v>
      </c>
      <c r="I2" s="3" t="s">
        <v>23</v>
      </c>
      <c r="J2" s="3" t="s">
        <v>24</v>
      </c>
      <c r="K2" s="4"/>
      <c r="L2" s="3"/>
    </row>
    <row r="3" spans="3:12" ht="12.75">
      <c r="C3" s="3"/>
      <c r="D3" s="5"/>
      <c r="E3" s="5"/>
      <c r="F3" s="6"/>
      <c r="G3" s="5"/>
      <c r="H3" s="5"/>
      <c r="I3" s="6"/>
      <c r="J3" s="5"/>
      <c r="K3" s="6"/>
      <c r="L3" s="5"/>
    </row>
    <row r="4" spans="1:13" s="8" customFormat="1" ht="12.75">
      <c r="A4" s="79">
        <v>1</v>
      </c>
      <c r="B4" s="77"/>
      <c r="C4" s="66">
        <f>6</f>
        <v>6</v>
      </c>
      <c r="D4" s="9">
        <f aca="true" t="shared" si="0" ref="D4:D14">C4/1000</f>
        <v>0.006</v>
      </c>
      <c r="E4" s="8">
        <v>50</v>
      </c>
      <c r="F4" s="81">
        <f>0.75</f>
        <v>0.75</v>
      </c>
      <c r="G4" s="81">
        <f>0.106</f>
        <v>0.106</v>
      </c>
      <c r="H4" s="81">
        <v>9</v>
      </c>
      <c r="I4" s="11">
        <f aca="true" t="shared" si="1" ref="I4:I14">0.007*G4</f>
        <v>0.000742</v>
      </c>
      <c r="J4" s="10">
        <f>G4/D4</f>
        <v>17.666666666666664</v>
      </c>
      <c r="K4" s="11">
        <f>J4*(SQRT((I4/G4)^2+(F4/C4)^2))</f>
        <v>2.2117932895177055</v>
      </c>
      <c r="L4" s="81">
        <f>J4/(K4^2)</f>
        <v>3.6113164211372775</v>
      </c>
      <c r="M4" s="7">
        <f>1/(K4^2)</f>
        <v>0.2044141370455063</v>
      </c>
    </row>
    <row r="5" spans="1:13" s="8" customFormat="1" ht="12.75">
      <c r="A5" s="79">
        <v>2</v>
      </c>
      <c r="B5" s="77"/>
      <c r="C5" s="66">
        <f>7</f>
        <v>7</v>
      </c>
      <c r="D5" s="9">
        <f t="shared" si="0"/>
        <v>0.007</v>
      </c>
      <c r="E5" s="8">
        <v>50</v>
      </c>
      <c r="F5" s="81">
        <f aca="true" t="shared" si="2" ref="F5:F14">0.75</f>
        <v>0.75</v>
      </c>
      <c r="G5" s="81">
        <f>0.123</f>
        <v>0.123</v>
      </c>
      <c r="H5" s="81">
        <v>9</v>
      </c>
      <c r="I5" s="11">
        <f t="shared" si="1"/>
        <v>0.000861</v>
      </c>
      <c r="J5" s="10">
        <f aca="true" t="shared" si="3" ref="J5:J13">G5/D5</f>
        <v>17.57142857142857</v>
      </c>
      <c r="K5" s="11">
        <f aca="true" t="shared" si="4" ref="K5:K14">J5*(SQRT((I5/G5)^2+(F5/C5)^2))</f>
        <v>1.8866667826985086</v>
      </c>
      <c r="L5" s="81">
        <f aca="true" t="shared" si="5" ref="L5:L13">J5/(K5^2)</f>
        <v>4.936471852906726</v>
      </c>
      <c r="M5" s="7">
        <f>1/(K5^2)</f>
        <v>0.280937422523147</v>
      </c>
    </row>
    <row r="6" spans="1:13" s="8" customFormat="1" ht="12.75">
      <c r="A6" s="79">
        <v>3</v>
      </c>
      <c r="B6" s="77"/>
      <c r="C6" s="66">
        <f>10</f>
        <v>10</v>
      </c>
      <c r="D6" s="9">
        <f t="shared" si="0"/>
        <v>0.01</v>
      </c>
      <c r="E6" s="8">
        <v>50</v>
      </c>
      <c r="F6" s="81">
        <f t="shared" si="2"/>
        <v>0.75</v>
      </c>
      <c r="G6" s="81">
        <f>0.173</f>
        <v>0.173</v>
      </c>
      <c r="H6" s="81">
        <v>9</v>
      </c>
      <c r="I6" s="11">
        <f t="shared" si="1"/>
        <v>0.0012109999999999998</v>
      </c>
      <c r="J6" s="10">
        <f t="shared" si="3"/>
        <v>17.299999999999997</v>
      </c>
      <c r="K6" s="11">
        <f t="shared" si="4"/>
        <v>1.3031390793004403</v>
      </c>
      <c r="L6" s="81">
        <f t="shared" si="5"/>
        <v>10.1874283059733</v>
      </c>
      <c r="M6" s="7">
        <f aca="true" t="shared" si="6" ref="M6:M13">1/(K6^2)</f>
        <v>0.5888686882065493</v>
      </c>
    </row>
    <row r="7" spans="1:13" ht="12.75">
      <c r="A7" s="79">
        <v>4</v>
      </c>
      <c r="B7" s="77"/>
      <c r="C7" s="66">
        <f>12</f>
        <v>12</v>
      </c>
      <c r="D7" s="9">
        <f t="shared" si="0"/>
        <v>0.012</v>
      </c>
      <c r="E7" s="8">
        <v>50</v>
      </c>
      <c r="F7" s="81">
        <f t="shared" si="2"/>
        <v>0.75</v>
      </c>
      <c r="G7" s="81">
        <f>0.208</f>
        <v>0.208</v>
      </c>
      <c r="H7" s="81">
        <v>9</v>
      </c>
      <c r="I7" s="11">
        <f t="shared" si="1"/>
        <v>0.001456</v>
      </c>
      <c r="J7" s="10">
        <f t="shared" si="3"/>
        <v>17.333333333333332</v>
      </c>
      <c r="K7" s="11">
        <f t="shared" si="4"/>
        <v>1.0901068245309213</v>
      </c>
      <c r="L7" s="81">
        <f t="shared" si="5"/>
        <v>14.586260714824016</v>
      </c>
      <c r="M7" s="7">
        <f t="shared" si="6"/>
        <v>0.8415150412398471</v>
      </c>
    </row>
    <row r="8" spans="1:13" ht="12.75">
      <c r="A8" s="79">
        <v>5</v>
      </c>
      <c r="B8" s="77"/>
      <c r="C8" s="66">
        <f>15</f>
        <v>15</v>
      </c>
      <c r="D8" s="9">
        <f t="shared" si="0"/>
        <v>0.015</v>
      </c>
      <c r="E8" s="8">
        <v>50</v>
      </c>
      <c r="F8" s="81">
        <f t="shared" si="2"/>
        <v>0.75</v>
      </c>
      <c r="G8" s="81">
        <f>0.26</f>
        <v>0.26</v>
      </c>
      <c r="H8" s="81">
        <v>9</v>
      </c>
      <c r="I8" s="11">
        <f t="shared" si="1"/>
        <v>0.00182</v>
      </c>
      <c r="J8" s="10">
        <f t="shared" si="3"/>
        <v>17.333333333333336</v>
      </c>
      <c r="K8" s="11">
        <f t="shared" si="4"/>
        <v>0.8751187855879277</v>
      </c>
      <c r="L8" s="81">
        <f t="shared" si="5"/>
        <v>22.633310197060677</v>
      </c>
      <c r="M8" s="7">
        <f t="shared" si="6"/>
        <v>1.3057678959842696</v>
      </c>
    </row>
    <row r="9" spans="1:13" ht="12.75">
      <c r="A9" s="79">
        <v>6</v>
      </c>
      <c r="B9" s="77"/>
      <c r="C9" s="66">
        <f>19</f>
        <v>19</v>
      </c>
      <c r="D9" s="9">
        <f t="shared" si="0"/>
        <v>0.019</v>
      </c>
      <c r="E9" s="8">
        <v>50</v>
      </c>
      <c r="F9" s="81">
        <f t="shared" si="2"/>
        <v>0.75</v>
      </c>
      <c r="G9" s="81">
        <f>0.326</f>
        <v>0.326</v>
      </c>
      <c r="H9" s="81">
        <v>9</v>
      </c>
      <c r="I9" s="11">
        <f t="shared" si="1"/>
        <v>0.002282</v>
      </c>
      <c r="J9" s="10">
        <f t="shared" si="3"/>
        <v>17.157894736842106</v>
      </c>
      <c r="K9" s="11">
        <f t="shared" si="4"/>
        <v>0.6878522203021137</v>
      </c>
      <c r="L9" s="81">
        <f t="shared" si="5"/>
        <v>36.26383351048278</v>
      </c>
      <c r="M9" s="7">
        <f t="shared" si="6"/>
        <v>2.1135363088931682</v>
      </c>
    </row>
    <row r="10" spans="1:13" ht="12.75">
      <c r="A10" s="79">
        <v>7</v>
      </c>
      <c r="B10" s="77"/>
      <c r="C10" s="66">
        <f>21</f>
        <v>21</v>
      </c>
      <c r="D10" s="9">
        <f t="shared" si="0"/>
        <v>0.021</v>
      </c>
      <c r="E10" s="8">
        <v>50</v>
      </c>
      <c r="F10" s="81">
        <f t="shared" si="2"/>
        <v>0.75</v>
      </c>
      <c r="G10" s="81">
        <f>0.361</f>
        <v>0.361</v>
      </c>
      <c r="H10" s="81">
        <v>9</v>
      </c>
      <c r="I10" s="11">
        <f t="shared" si="1"/>
        <v>0.002527</v>
      </c>
      <c r="J10" s="10">
        <f t="shared" si="3"/>
        <v>17.19047619047619</v>
      </c>
      <c r="K10" s="11">
        <f t="shared" si="4"/>
        <v>0.6256271126964265</v>
      </c>
      <c r="L10" s="81">
        <f t="shared" si="5"/>
        <v>43.91943902968175</v>
      </c>
      <c r="M10" s="7">
        <f t="shared" si="6"/>
        <v>2.5548704144690215</v>
      </c>
    </row>
    <row r="11" spans="1:13" ht="12.75">
      <c r="A11" s="79">
        <v>8</v>
      </c>
      <c r="B11" s="77"/>
      <c r="C11" s="66">
        <f>23</f>
        <v>23</v>
      </c>
      <c r="D11" s="9">
        <f t="shared" si="0"/>
        <v>0.023</v>
      </c>
      <c r="E11" s="8">
        <v>50</v>
      </c>
      <c r="F11" s="81">
        <f t="shared" si="2"/>
        <v>0.75</v>
      </c>
      <c r="G11" s="81">
        <f>0.394</f>
        <v>0.394</v>
      </c>
      <c r="H11" s="81">
        <v>9</v>
      </c>
      <c r="I11" s="11">
        <f t="shared" si="1"/>
        <v>0.002758</v>
      </c>
      <c r="J11" s="10">
        <f t="shared" si="3"/>
        <v>17.130434782608695</v>
      </c>
      <c r="K11" s="11">
        <f t="shared" si="4"/>
        <v>0.5713268461599396</v>
      </c>
      <c r="L11" s="81">
        <f t="shared" si="5"/>
        <v>52.48063998378455</v>
      </c>
      <c r="M11" s="7">
        <f t="shared" si="6"/>
        <v>3.06359065895189</v>
      </c>
    </row>
    <row r="12" spans="1:13" ht="12.75">
      <c r="A12" s="79">
        <v>9</v>
      </c>
      <c r="B12" s="77"/>
      <c r="C12" s="66">
        <f>25</f>
        <v>25</v>
      </c>
      <c r="D12" s="9">
        <f t="shared" si="0"/>
        <v>0.025</v>
      </c>
      <c r="E12" s="8">
        <v>50</v>
      </c>
      <c r="F12" s="81">
        <f t="shared" si="2"/>
        <v>0.75</v>
      </c>
      <c r="G12" s="81">
        <f>0.428</f>
        <v>0.428</v>
      </c>
      <c r="H12" s="81">
        <v>9</v>
      </c>
      <c r="I12" s="11">
        <f t="shared" si="1"/>
        <v>0.002996</v>
      </c>
      <c r="J12" s="10">
        <f t="shared" si="3"/>
        <v>17.119999999999997</v>
      </c>
      <c r="K12" s="11">
        <f t="shared" si="4"/>
        <v>0.5273960424576581</v>
      </c>
      <c r="L12" s="81">
        <f t="shared" si="5"/>
        <v>61.55027919206642</v>
      </c>
      <c r="M12" s="7">
        <f t="shared" si="6"/>
        <v>3.595226588321637</v>
      </c>
    </row>
    <row r="13" spans="1:13" ht="12.75">
      <c r="A13" s="79">
        <v>10</v>
      </c>
      <c r="B13" s="77"/>
      <c r="C13" s="66">
        <f>28</f>
        <v>28</v>
      </c>
      <c r="D13" s="9">
        <f t="shared" si="0"/>
        <v>0.028</v>
      </c>
      <c r="E13" s="8">
        <v>50</v>
      </c>
      <c r="F13" s="81">
        <f t="shared" si="2"/>
        <v>0.75</v>
      </c>
      <c r="G13" s="81">
        <f>0.48</f>
        <v>0.48</v>
      </c>
      <c r="H13" s="81">
        <v>9</v>
      </c>
      <c r="I13" s="11">
        <f t="shared" si="1"/>
        <v>0.00336</v>
      </c>
      <c r="J13" s="10">
        <f t="shared" si="3"/>
        <v>17.142857142857142</v>
      </c>
      <c r="K13" s="11">
        <f t="shared" si="4"/>
        <v>0.4746047260414094</v>
      </c>
      <c r="L13" s="81">
        <f t="shared" si="5"/>
        <v>76.10603367747463</v>
      </c>
      <c r="M13" s="7">
        <f t="shared" si="6"/>
        <v>4.4395186311860195</v>
      </c>
    </row>
    <row r="14" spans="3:13" ht="12.75">
      <c r="C14" s="65">
        <f>30</f>
        <v>30</v>
      </c>
      <c r="D14" s="9">
        <f t="shared" si="0"/>
        <v>0.03</v>
      </c>
      <c r="E14" s="8">
        <v>50</v>
      </c>
      <c r="F14" s="81">
        <f t="shared" si="2"/>
        <v>0.75</v>
      </c>
      <c r="G14" s="81">
        <f>0.514</f>
        <v>0.514</v>
      </c>
      <c r="H14" s="81">
        <v>9</v>
      </c>
      <c r="I14" s="11">
        <f t="shared" si="1"/>
        <v>0.003598</v>
      </c>
      <c r="J14" s="10">
        <f>G14/D14</f>
        <v>17.133333333333333</v>
      </c>
      <c r="K14" s="11">
        <f t="shared" si="4"/>
        <v>0.4448072041782697</v>
      </c>
      <c r="L14" s="81">
        <f>SUM(L4:L13)</f>
        <v>326.27501288539213</v>
      </c>
      <c r="M14" s="79">
        <f>SUM(M4:M13)</f>
        <v>18.988245786821057</v>
      </c>
    </row>
    <row r="15" spans="3:13" ht="12.75">
      <c r="C15" s="37"/>
      <c r="D15" s="12"/>
      <c r="K15" t="s">
        <v>65</v>
      </c>
      <c r="L15" s="81">
        <f>SUM(L5:L14)</f>
        <v>648.9387093496471</v>
      </c>
      <c r="M15" s="79">
        <f>SUM(M5:M14)</f>
        <v>37.772077436596604</v>
      </c>
    </row>
    <row r="16" spans="2:4" ht="25.5">
      <c r="B16" s="78" t="s">
        <v>25</v>
      </c>
      <c r="C16" s="80"/>
      <c r="D16" s="10"/>
    </row>
    <row r="17" spans="2:13" ht="12.75">
      <c r="B17" s="2"/>
      <c r="C17" s="80"/>
      <c r="D17" s="10"/>
      <c r="E17" s="1">
        <f>L14/M14</f>
        <v>17.1829992379731</v>
      </c>
      <c r="M17" s="10"/>
    </row>
    <row r="18" ht="12.75"/>
    <row r="19" ht="12.75"/>
    <row r="20" ht="12.75"/>
    <row r="21" ht="12.75"/>
    <row r="22" ht="12.75"/>
    <row r="23" ht="12.75">
      <c r="E23" s="1">
        <f>SQRT(1/(SUM(M4:M14)))</f>
        <v>0.1622716229817282</v>
      </c>
    </row>
    <row r="24" ht="12.75"/>
    <row r="25" ht="12.75"/>
    <row r="26" ht="12.75"/>
    <row r="27" ht="12.75"/>
    <row r="29" spans="2:5" ht="12.75">
      <c r="B29" s="1" t="s">
        <v>26</v>
      </c>
      <c r="E29">
        <f>E23*100/E17</f>
        <v>0.9443731023575935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K4" sqref="K4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8.28125" style="65" customWidth="1"/>
    <col min="6" max="8" width="9.140625" style="1" customWidth="1"/>
    <col min="9" max="9" width="13.28125" style="1" customWidth="1"/>
    <col min="10" max="10" width="8.8515625" style="0" customWidth="1"/>
    <col min="11" max="11" width="14.8515625" style="0" customWidth="1"/>
    <col min="12" max="12" width="9.140625" style="1" customWidth="1"/>
  </cols>
  <sheetData>
    <row r="1" spans="2:11" ht="12.75">
      <c r="B1" s="1" t="s">
        <v>9</v>
      </c>
      <c r="C1" s="65" t="s">
        <v>10</v>
      </c>
      <c r="D1" s="1" t="s">
        <v>11</v>
      </c>
      <c r="E1" s="1" t="s">
        <v>12</v>
      </c>
      <c r="F1" s="2" t="s">
        <v>13</v>
      </c>
      <c r="G1" s="1" t="s">
        <v>14</v>
      </c>
      <c r="H1" s="1" t="s">
        <v>15</v>
      </c>
      <c r="I1" s="2" t="s">
        <v>16</v>
      </c>
      <c r="J1" s="1" t="s">
        <v>17</v>
      </c>
      <c r="K1" s="2" t="s">
        <v>18</v>
      </c>
    </row>
    <row r="2" spans="3:12" ht="22.5">
      <c r="C2" s="3" t="s">
        <v>19</v>
      </c>
      <c r="D2" s="3" t="s">
        <v>20</v>
      </c>
      <c r="E2" s="3" t="s">
        <v>21</v>
      </c>
      <c r="F2" s="3" t="s">
        <v>22</v>
      </c>
      <c r="G2" s="3"/>
      <c r="H2" s="3" t="s">
        <v>21</v>
      </c>
      <c r="I2" s="3" t="s">
        <v>23</v>
      </c>
      <c r="J2" s="3" t="s">
        <v>24</v>
      </c>
      <c r="K2" s="4"/>
      <c r="L2" s="3"/>
    </row>
    <row r="3" spans="3:12" ht="12.75">
      <c r="C3" s="3"/>
      <c r="D3" s="5"/>
      <c r="E3" s="5"/>
      <c r="F3" s="6"/>
      <c r="G3" s="5"/>
      <c r="H3" s="5"/>
      <c r="I3" s="6"/>
      <c r="J3" s="5"/>
      <c r="K3" s="6"/>
      <c r="L3" s="5"/>
    </row>
    <row r="4" spans="1:14" s="8" customFormat="1" ht="12.75">
      <c r="A4" s="79">
        <v>1</v>
      </c>
      <c r="B4" s="77"/>
      <c r="C4" s="66">
        <f>6.2</f>
        <v>6.2</v>
      </c>
      <c r="D4" s="9">
        <f aca="true" t="shared" si="0" ref="D4:D13">C4/1000</f>
        <v>0.0062</v>
      </c>
      <c r="E4" s="8">
        <v>50</v>
      </c>
      <c r="F4" s="81">
        <f>0.75</f>
        <v>0.75</v>
      </c>
      <c r="G4" s="81">
        <f>0.126</f>
        <v>0.126</v>
      </c>
      <c r="H4" s="81">
        <v>9</v>
      </c>
      <c r="I4" s="11">
        <f>0.007*G4</f>
        <v>0.000882</v>
      </c>
      <c r="J4" s="10">
        <f>G4/D4</f>
        <v>20.322580645161292</v>
      </c>
      <c r="K4" s="11">
        <f>J4*(SQRT((I4/G4)^2+(F4/C4)^2))</f>
        <v>2.4624892510447745</v>
      </c>
      <c r="L4" s="81">
        <f>J4/(K4^2)</f>
        <v>3.351430122259521</v>
      </c>
      <c r="M4" s="7">
        <f>1/(K4^2)</f>
        <v>0.1649116409365796</v>
      </c>
      <c r="N4" s="7">
        <f>1/(POWER(K4,2))</f>
        <v>0.1649116409365796</v>
      </c>
    </row>
    <row r="5" spans="1:14" s="8" customFormat="1" ht="12.75">
      <c r="A5" s="79">
        <v>2</v>
      </c>
      <c r="B5" s="77"/>
      <c r="C5" s="66">
        <f>6.8</f>
        <v>6.8</v>
      </c>
      <c r="D5" s="9">
        <f t="shared" si="0"/>
        <v>0.0068</v>
      </c>
      <c r="E5" s="8">
        <v>50</v>
      </c>
      <c r="F5" s="81">
        <f aca="true" t="shared" si="1" ref="F5:F13">0.75</f>
        <v>0.75</v>
      </c>
      <c r="G5" s="81">
        <f>0.136</f>
        <v>0.136</v>
      </c>
      <c r="H5" s="81">
        <v>9</v>
      </c>
      <c r="I5" s="11">
        <f aca="true" t="shared" si="2" ref="I5:I13">0.007*G5</f>
        <v>0.000952</v>
      </c>
      <c r="J5" s="10">
        <f>G5/D5</f>
        <v>20.000000000000004</v>
      </c>
      <c r="K5" s="11">
        <f aca="true" t="shared" si="3" ref="K5:K13">J5*(SQRT((I5/G5)^2+(F5/C5)^2))</f>
        <v>2.2103205548103886</v>
      </c>
      <c r="L5" s="81">
        <f aca="true" t="shared" si="4" ref="L5:L13">J5/(K5^2)</f>
        <v>4.093732594553889</v>
      </c>
      <c r="M5" s="7">
        <f aca="true" t="shared" si="5" ref="M5:M13">1/(K5^2)</f>
        <v>0.2046866297276944</v>
      </c>
      <c r="N5" s="7">
        <f aca="true" t="shared" si="6" ref="N5:N13">1/(POWER(K5,2))</f>
        <v>0.2046866297276944</v>
      </c>
    </row>
    <row r="6" spans="1:14" s="8" customFormat="1" ht="12.75">
      <c r="A6" s="79">
        <v>3</v>
      </c>
      <c r="B6" s="77"/>
      <c r="C6" s="66">
        <f>7.1</f>
        <v>7.1</v>
      </c>
      <c r="D6" s="9">
        <f t="shared" si="0"/>
        <v>0.0070999999999999995</v>
      </c>
      <c r="E6" s="8">
        <v>50</v>
      </c>
      <c r="F6" s="81">
        <f t="shared" si="1"/>
        <v>0.75</v>
      </c>
      <c r="G6" s="81">
        <f>0.142</f>
        <v>0.142</v>
      </c>
      <c r="H6" s="81">
        <v>9</v>
      </c>
      <c r="I6" s="11">
        <f t="shared" si="2"/>
        <v>0.0009939999999999999</v>
      </c>
      <c r="J6" s="10">
        <f aca="true" t="shared" si="7" ref="J6:J13">G6/D6</f>
        <v>20</v>
      </c>
      <c r="K6" s="11">
        <f t="shared" si="3"/>
        <v>2.1173096417444484</v>
      </c>
      <c r="L6" s="81">
        <f t="shared" si="4"/>
        <v>4.461298119339379</v>
      </c>
      <c r="M6" s="7">
        <f t="shared" si="5"/>
        <v>0.2230649059669689</v>
      </c>
      <c r="N6" s="7">
        <f t="shared" si="6"/>
        <v>0.2230649059669689</v>
      </c>
    </row>
    <row r="7" spans="1:14" ht="12.75">
      <c r="A7" s="79">
        <v>4</v>
      </c>
      <c r="B7" s="77"/>
      <c r="C7" s="66">
        <f>7.8</f>
        <v>7.8</v>
      </c>
      <c r="D7" s="9">
        <f t="shared" si="0"/>
        <v>0.0078</v>
      </c>
      <c r="E7" s="8">
        <v>50</v>
      </c>
      <c r="F7" s="81">
        <f t="shared" si="1"/>
        <v>0.75</v>
      </c>
      <c r="G7" s="81">
        <f>0.156</f>
        <v>0.156</v>
      </c>
      <c r="H7" s="81">
        <v>9</v>
      </c>
      <c r="I7" s="11">
        <f t="shared" si="2"/>
        <v>0.001092</v>
      </c>
      <c r="J7" s="10">
        <f t="shared" si="7"/>
        <v>20</v>
      </c>
      <c r="K7" s="11">
        <f t="shared" si="3"/>
        <v>1.9281661889139656</v>
      </c>
      <c r="L7" s="81">
        <f t="shared" si="4"/>
        <v>5.3794895660184325</v>
      </c>
      <c r="M7" s="7">
        <f t="shared" si="5"/>
        <v>0.2689744783009216</v>
      </c>
      <c r="N7" s="7">
        <f t="shared" si="6"/>
        <v>0.2689744783009216</v>
      </c>
    </row>
    <row r="8" spans="1:14" ht="12.75">
      <c r="A8" s="79">
        <v>5</v>
      </c>
      <c r="B8" s="77"/>
      <c r="C8" s="66">
        <f>8.2</f>
        <v>8.2</v>
      </c>
      <c r="D8" s="9">
        <f t="shared" si="0"/>
        <v>0.008199999999999999</v>
      </c>
      <c r="E8" s="8">
        <v>50</v>
      </c>
      <c r="F8" s="81">
        <f t="shared" si="1"/>
        <v>0.75</v>
      </c>
      <c r="G8" s="81">
        <f>0.166</f>
        <v>0.166</v>
      </c>
      <c r="H8" s="81">
        <v>9</v>
      </c>
      <c r="I8" s="11">
        <f t="shared" si="2"/>
        <v>0.001162</v>
      </c>
      <c r="J8" s="10">
        <f t="shared" si="7"/>
        <v>20.243902439024392</v>
      </c>
      <c r="K8" s="11">
        <f t="shared" si="3"/>
        <v>1.8569911918154047</v>
      </c>
      <c r="L8" s="81">
        <f t="shared" si="4"/>
        <v>5.870492642780243</v>
      </c>
      <c r="M8" s="7">
        <f t="shared" si="5"/>
        <v>0.2899881907879397</v>
      </c>
      <c r="N8" s="7">
        <f t="shared" si="6"/>
        <v>0.2899881907879397</v>
      </c>
    </row>
    <row r="9" spans="1:14" ht="12.75">
      <c r="A9" s="79">
        <v>6</v>
      </c>
      <c r="B9" s="77"/>
      <c r="C9" s="66">
        <f>9.2</f>
        <v>9.2</v>
      </c>
      <c r="D9" s="9">
        <f t="shared" si="0"/>
        <v>0.0092</v>
      </c>
      <c r="E9" s="8">
        <v>50</v>
      </c>
      <c r="F9" s="81">
        <f t="shared" si="1"/>
        <v>0.75</v>
      </c>
      <c r="G9" s="81">
        <f>0.185</f>
        <v>0.185</v>
      </c>
      <c r="H9" s="81">
        <v>9</v>
      </c>
      <c r="I9" s="11">
        <f t="shared" si="2"/>
        <v>0.001295</v>
      </c>
      <c r="J9" s="10">
        <f t="shared" si="7"/>
        <v>20.108695652173914</v>
      </c>
      <c r="K9" s="11">
        <f t="shared" si="3"/>
        <v>1.6453280759193896</v>
      </c>
      <c r="L9" s="81">
        <f t="shared" si="4"/>
        <v>7.4281195350920255</v>
      </c>
      <c r="M9" s="7">
        <f t="shared" si="5"/>
        <v>0.36939837688025207</v>
      </c>
      <c r="N9" s="7">
        <f t="shared" si="6"/>
        <v>0.36939837688025207</v>
      </c>
    </row>
    <row r="10" spans="1:14" ht="12.75">
      <c r="A10" s="79">
        <v>7</v>
      </c>
      <c r="B10" s="77"/>
      <c r="C10" s="66">
        <f>10.8</f>
        <v>10.8</v>
      </c>
      <c r="D10" s="9">
        <f t="shared" si="0"/>
        <v>0.0108</v>
      </c>
      <c r="E10" s="8">
        <v>50</v>
      </c>
      <c r="F10" s="81">
        <f t="shared" si="1"/>
        <v>0.75</v>
      </c>
      <c r="G10" s="81">
        <f>0.213</f>
        <v>0.213</v>
      </c>
      <c r="H10" s="81">
        <v>9</v>
      </c>
      <c r="I10" s="11">
        <f t="shared" si="2"/>
        <v>0.001491</v>
      </c>
      <c r="J10" s="10">
        <f t="shared" si="7"/>
        <v>19.72222222222222</v>
      </c>
      <c r="K10" s="11">
        <f t="shared" si="3"/>
        <v>1.3765391802244067</v>
      </c>
      <c r="L10" s="81">
        <f t="shared" si="4"/>
        <v>10.40827344947244</v>
      </c>
      <c r="M10" s="7">
        <f t="shared" si="5"/>
        <v>0.5277434425084617</v>
      </c>
      <c r="N10" s="7">
        <f t="shared" si="6"/>
        <v>0.5277434425084617</v>
      </c>
    </row>
    <row r="11" spans="1:14" ht="12.75">
      <c r="A11" s="79">
        <v>8</v>
      </c>
      <c r="B11" s="77"/>
      <c r="C11" s="66">
        <f>14.2</f>
        <v>14.2</v>
      </c>
      <c r="D11" s="9">
        <f t="shared" si="0"/>
        <v>0.014199999999999999</v>
      </c>
      <c r="E11" s="8">
        <v>50</v>
      </c>
      <c r="F11" s="81">
        <f t="shared" si="1"/>
        <v>0.75</v>
      </c>
      <c r="G11" s="81">
        <f>0.285</f>
        <v>0.285</v>
      </c>
      <c r="H11" s="81">
        <v>9</v>
      </c>
      <c r="I11" s="11">
        <f t="shared" si="2"/>
        <v>0.001995</v>
      </c>
      <c r="J11" s="10">
        <f t="shared" si="7"/>
        <v>20.070422535211268</v>
      </c>
      <c r="K11" s="11">
        <f t="shared" si="3"/>
        <v>1.0693270006945683</v>
      </c>
      <c r="L11" s="81">
        <f t="shared" si="4"/>
        <v>17.552357249650402</v>
      </c>
      <c r="M11" s="7">
        <f t="shared" si="5"/>
        <v>0.8745385015615288</v>
      </c>
      <c r="N11" s="7">
        <f t="shared" si="6"/>
        <v>0.8745385015615288</v>
      </c>
    </row>
    <row r="12" spans="1:14" ht="12.75">
      <c r="A12" s="79">
        <v>9</v>
      </c>
      <c r="B12" s="77"/>
      <c r="C12" s="66">
        <f>17.5</f>
        <v>17.5</v>
      </c>
      <c r="D12" s="9">
        <f t="shared" si="0"/>
        <v>0.0175</v>
      </c>
      <c r="E12" s="8">
        <v>50</v>
      </c>
      <c r="F12" s="81">
        <f t="shared" si="1"/>
        <v>0.75</v>
      </c>
      <c r="G12" s="81">
        <f>0.351</f>
        <v>0.351</v>
      </c>
      <c r="H12" s="81">
        <v>9</v>
      </c>
      <c r="I12" s="11">
        <f t="shared" si="2"/>
        <v>0.002457</v>
      </c>
      <c r="J12" s="10">
        <f t="shared" si="7"/>
        <v>20.057142857142853</v>
      </c>
      <c r="K12" s="11">
        <f t="shared" si="3"/>
        <v>0.8709823682376838</v>
      </c>
      <c r="L12" s="81">
        <f t="shared" si="4"/>
        <v>26.439323633076956</v>
      </c>
      <c r="M12" s="7">
        <f t="shared" si="5"/>
        <v>1.3181998962360308</v>
      </c>
      <c r="N12" s="7">
        <f t="shared" si="6"/>
        <v>1.3181998962360308</v>
      </c>
    </row>
    <row r="13" spans="1:14" ht="12.75">
      <c r="A13" s="79">
        <v>10</v>
      </c>
      <c r="B13" s="77"/>
      <c r="C13" s="66">
        <f>22.6</f>
        <v>22.6</v>
      </c>
      <c r="D13" s="9">
        <f t="shared" si="0"/>
        <v>0.022600000000000002</v>
      </c>
      <c r="E13" s="8">
        <v>50</v>
      </c>
      <c r="F13" s="81">
        <f t="shared" si="1"/>
        <v>0.75</v>
      </c>
      <c r="G13" s="81">
        <f>0.458</f>
        <v>0.458</v>
      </c>
      <c r="H13" s="81">
        <v>9</v>
      </c>
      <c r="I13" s="11">
        <f t="shared" si="2"/>
        <v>0.003206</v>
      </c>
      <c r="J13" s="10">
        <f t="shared" si="7"/>
        <v>20.265486725663717</v>
      </c>
      <c r="K13" s="11">
        <f t="shared" si="3"/>
        <v>0.6873257318745185</v>
      </c>
      <c r="L13" s="81">
        <f t="shared" si="4"/>
        <v>42.89748514134417</v>
      </c>
      <c r="M13" s="7">
        <f t="shared" si="5"/>
        <v>2.116775467673315</v>
      </c>
      <c r="N13" s="7">
        <f t="shared" si="6"/>
        <v>2.116775467673315</v>
      </c>
    </row>
    <row r="14" spans="11:13" ht="12.75">
      <c r="K14" t="s">
        <v>65</v>
      </c>
      <c r="L14" s="81">
        <f>SUM(L4:L13)</f>
        <v>127.88200205358746</v>
      </c>
      <c r="M14" s="79">
        <f>SUM(M4:M13)</f>
        <v>6.358281530579693</v>
      </c>
    </row>
    <row r="15" spans="3:4" ht="12.75">
      <c r="C15" s="37"/>
      <c r="D15" s="12"/>
    </row>
    <row r="16" spans="2:4" ht="25.5">
      <c r="B16" s="78" t="s">
        <v>25</v>
      </c>
      <c r="C16" s="80"/>
      <c r="D16" s="10"/>
    </row>
    <row r="17" spans="2:13" ht="12.75">
      <c r="B17" s="2"/>
      <c r="C17" s="80"/>
      <c r="D17" s="10"/>
      <c r="E17" s="1">
        <f>L14/M14</f>
        <v>20.112667461883884</v>
      </c>
      <c r="M17" s="10"/>
    </row>
    <row r="18" ht="12.75"/>
    <row r="19" ht="12.75"/>
    <row r="20" ht="12.75"/>
    <row r="21" ht="12.75"/>
    <row r="22" ht="12.75"/>
    <row r="23" ht="12.75">
      <c r="E23" s="1">
        <f>SQRT(1/(SUM(M4:M14)))</f>
        <v>0.2804239648262871</v>
      </c>
    </row>
    <row r="24" ht="12.75"/>
    <row r="25" ht="12.75"/>
    <row r="26" ht="12.75"/>
    <row r="27" ht="12.75"/>
    <row r="29" spans="2:5" ht="12.75">
      <c r="B29" s="1" t="s">
        <v>26</v>
      </c>
      <c r="E29">
        <f>E23*100/E17</f>
        <v>1.394265406902028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PriscoM</dc:creator>
  <cp:keywords/>
  <dc:description/>
  <cp:lastModifiedBy>PriscoM</cp:lastModifiedBy>
  <dcterms:created xsi:type="dcterms:W3CDTF">2007-06-18T04:07:40Z</dcterms:created>
  <dcterms:modified xsi:type="dcterms:W3CDTF">2007-06-20T09:00:14Z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